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5000" windowHeight="10000" firstSheet="0" activeTab="0"/>
  </bookViews>
  <sheets>
    <sheet sheetId="1" name="Contract Register" state="visible" r:id="rId4"/>
    <sheet sheetId="2" name="Renewal Calendar" state="visible" r:id="rId5"/>
    <sheet sheetId="3" name="Summary Dashboard" state="visible" r:id="rId6"/>
  </sheets>
  <calcPr calcId="171027"/>
</workbook>
</file>

<file path=xl/sharedStrings.xml><?xml version="1.0" encoding="utf-8"?>
<sst xmlns="http://schemas.openxmlformats.org/spreadsheetml/2006/main" count="103" uniqueCount="80">
  <si>
    <t>SaaS Renewal Forecasting Template — Contract Register</t>
  </si>
  <si>
    <t>Teal = enter your data  |  Black = auto-calculated  |  Green = linked from other sheets</t>
  </si>
  <si>
    <t>Vendor</t>
  </si>
  <si>
    <t>Contract Type</t>
  </si>
  <si>
    <t>Category</t>
  </si>
  <si>
    <t>Owner</t>
  </si>
  <si>
    <t>Annual Value (£)</t>
  </si>
  <si>
    <t>Start Date</t>
  </si>
  <si>
    <t>End Date</t>
  </si>
  <si>
    <t>Notice Window (days)</t>
  </si>
  <si>
    <t>Notice Deadline</t>
  </si>
  <si>
    <t>Days to Deadline</t>
  </si>
  <si>
    <t>Auto-Renewal?</t>
  </si>
  <si>
    <t>Renewal Action</t>
  </si>
  <si>
    <t>Status</t>
  </si>
  <si>
    <t>Risk Level</t>
  </si>
  <si>
    <t>Budget Year</t>
  </si>
  <si>
    <t>Notes</t>
  </si>
  <si>
    <t>Reviewed?</t>
  </si>
  <si>
    <t>Renewly Link</t>
  </si>
  <si>
    <t>Microsoft 365</t>
  </si>
  <si>
    <t>SaaS</t>
  </si>
  <si>
    <t>IT</t>
  </si>
  <si>
    <t>IT Manager</t>
  </si>
  <si>
    <t>Yes</t>
  </si>
  <si>
    <t>Renew</t>
  </si>
  <si>
    <t>No</t>
  </si>
  <si>
    <t>https://app.renewly.gg</t>
  </si>
  <si>
    <t>Salesforce CRM</t>
  </si>
  <si>
    <t>Sales</t>
  </si>
  <si>
    <t>Sales Ops</t>
  </si>
  <si>
    <t>Renegotiate</t>
  </si>
  <si>
    <t>DocuSign</t>
  </si>
  <si>
    <t>Legal</t>
  </si>
  <si>
    <t>Legal Counsel</t>
  </si>
  <si>
    <t>In Progress</t>
  </si>
  <si>
    <t>AWS Support</t>
  </si>
  <si>
    <t>Managed Service</t>
  </si>
  <si>
    <t>CTO</t>
  </si>
  <si>
    <t>Review</t>
  </si>
  <si>
    <t>Xero</t>
  </si>
  <si>
    <t>Finance</t>
  </si>
  <si>
    <t>Finance Manager</t>
  </si>
  <si>
    <t>Renewal Calendar — 12-Month Rolling View</t>
  </si>
  <si>
    <t>Shows contract value in the month each contract expires. Update Contract Register to refresh.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</si>
  <si>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</si>
  <si>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</si>
  <si>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</si>
  <si>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</si>
  <si>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</si>
  <si>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</si>
  <si>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</si>
  <si>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</si>
  <si>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</si>
  <si>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</si>
  <si>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Jan 2027</t>
  </si>
  <si>
    <t>Feb 2027</t>
  </si>
  <si>
    <t>TOTAL EXPIRING</t>
  </si>
  <si>
    <t>Summary Dashboard</t>
  </si>
  <si>
    <t>All figures pull automatically from Contract Register. No manual updates needed.</t>
  </si>
  <si>
    <t>Portfolio Overview</t>
  </si>
  <si>
    <t>Risk Snapshot</t>
  </si>
  <si>
    <t>Total Active Contracts</t>
  </si>
  <si>
    <t>URGENT — Deadline ≤30 days</t>
  </si>
  <si>
    <t>Total Annual Vendor Spend</t>
  </si>
  <si>
    <t>DUE SOON — 31 to 90 days</t>
  </si>
  <si>
    <t>Average Contract Value</t>
  </si>
  <si>
    <t>HIGH Risk Contracts</t>
  </si>
  <si>
    <t>With Auto-Renewal Clause</t>
  </si>
  <si>
    <t>Value at Risk (High Risk £)</t>
  </si>
  <si>
    <t>Annual Spend by Category</t>
  </si>
  <si>
    <t>Annual Spend (£)</t>
  </si>
  <si>
    <t>% of Total</t>
  </si>
  <si>
    <t>HR</t>
  </si>
  <si>
    <t>Marketing</t>
  </si>
  <si>
    <t>Operations</t>
  </si>
  <si>
    <t>Facilities</t>
  </si>
  <si>
    <t>Other</t>
  </si>
  <si>
    <t>TOTAL</t>
  </si>
  <si>
    <t>Built by Renewly — automate this entire process at renewly.gg  |  Free for up to 5 contracts · Pro from £79/month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</si>
</sst>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£#,##0;(£#,##0);&quot;-&quot;"/>
    <numFmt numFmtId="165" formatCode="DD/MM/YYYY"/>
    <numFmt numFmtId="166" formatCode="0&quot; days&quot;"/>
    <numFmt numFmtId="167" formatCode="0&quot; days&quot;;(0&quot; days&quot;);&quot;-&quot;"/>
    <numFmt numFmtId="168" formatCode="0.0%"/>
  </numFmts>
  <fonts count="18" x14ac:knownFonts="1">
    <font>
      <color theme="1"/>
      <family val="2"/>
      <scheme val="minor"/>
      <sz val="11"/>
      <name val="Calibri"/>
    </font>
    <font>
      <b/>
      <color rgb="00FFFFFF"/>
      <sz val="14"/>
      <name val="Aptos"/>
    </font>
    <font>
      <name val="Aptos"/>
    </font>
    <font>
      <i/>
      <color rgb="0052525B"/>
      <sz val="9"/>
      <name val="Aptos"/>
    </font>
    <font>
      <b/>
      <color rgb="00FFFFFF"/>
      <sz val="11"/>
      <name val="Aptos"/>
    </font>
    <font>
      <color rgb="000D9488"/>
      <sz val="10"/>
      <name val="Aptos"/>
    </font>
    <font>
      <color rgb="00000000"/>
      <sz val="10"/>
      <name val="Aptos"/>
    </font>
    <font>
      <u/>
      <color rgb="000284C7"/>
      <sz val="10"/>
      <name val="Aptos"/>
    </font>
    <font>
      <color rgb="00059669"/>
      <sz val="10"/>
      <name val="Aptos"/>
    </font>
    <font>
      <b/>
      <sz val="10"/>
      <name val="Aptos"/>
    </font>
    <font>
      <b/>
      <color rgb="00000000"/>
      <name val="Aptos"/>
    </font>
    <font>
      <b/>
      <color rgb="00FFFFFF"/>
      <sz val="16"/>
      <name val="Aptos"/>
    </font>
    <font>
      <b/>
      <color rgb="003F3F46"/>
      <sz val="10"/>
      <name val="Aptos"/>
    </font>
    <font>
      <b/>
      <color rgb="00000000"/>
      <sz val="13"/>
      <name val="Aptos"/>
    </font>
    <font>
      <b/>
      <color rgb="00FFFFFF"/>
      <sz val="10"/>
      <name val="Aptos"/>
    </font>
    <font>
      <sz val="10"/>
      <name val="Aptos"/>
    </font>
    <font>
      <b/>
      <name val="Aptos"/>
    </font>
    <font>
      <i/>
      <color rgb="0071717A"/>
      <sz val="9"/>
      <name val="Aptos"/>
    </font>
  </fonts>
  <fills count="13">
    <fill>
      <patternFill patternType="none"/>
    </fill>
    <fill>
      <patternFill patternType="gray125"/>
    </fill>
    <fill>
      <patternFill patternType="solid">
        <fgColor rgb="000D9488"/>
      </patternFill>
    </fill>
    <fill>
      <patternFill patternType="solid">
        <fgColor rgb="00E4E4E7"/>
      </patternFill>
    </fill>
    <fill>
      <patternFill patternType="solid">
        <fgColor rgb="00F4F4F5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3F3F46"/>
      </patternFill>
    </fill>
    <fill>
      <patternFill patternType="solid">
        <fgColor rgb="00FAFAFA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71717A"/>
      </patternFill>
    </fill>
    <fill>
      <patternFill/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6" fontId="5" fillId="4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167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66" fontId="5" fillId="5" borderId="1" xfId="0" applyNumberFormat="1" applyFont="1" applyFill="1" applyBorder="1" applyAlignment="1">
      <alignment vertical="center"/>
    </xf>
    <xf numFmtId="165" fontId="6" fillId="5" borderId="1" xfId="0" applyNumberFormat="1" applyFont="1" applyFill="1" applyBorder="1" applyAlignment="1">
      <alignment vertical="center"/>
    </xf>
    <xf numFmtId="167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 indent="1"/>
    </xf>
    <xf numFmtId="0" fontId="12" fillId="8" borderId="1" xfId="0" applyFont="1" applyFill="1" applyBorder="1" applyAlignment="1">
      <alignment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3" fillId="9" borderId="1" xfId="0" applyNumberFormat="1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1" fontId="13" fillId="10" borderId="1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/>
    <xf numFmtId="0" fontId="14" fillId="11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8" fontId="6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168" fontId="6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7" fillId="1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b/>
        <color rgb="00DC2626"/>
      </font>
      <fill>
        <patternFill patternType="solid">
          <bgColor rgb="00FEE2E2"/>
        </patternFill>
      </fill>
    </dxf>
    <dxf>
      <font>
        <b/>
        <color rgb="00D97706"/>
      </font>
      <fill>
        <patternFill patternType="solid">
          <bgColor rgb="00FEF3C7"/>
        </patternFill>
      </fill>
    </dxf>
    <dxf>
      <font>
        <b/>
        <color rgb="0016A34A"/>
      </font>
      <fill>
        <patternFill patternType="solid">
          <bgColor rgb="00DCFCE7"/>
        </patternFill>
      </fill>
    </dxf>
    <dxf>
      <font>
        <b/>
        <color rgb="0064748B"/>
      </font>
      <fill>
        <patternFill patternType="solid">
          <bgColor rgb="00F1F5F9"/>
        </patternFill>
      </fill>
    </dxf>
    <dxf>
      <font>
        <b/>
        <color rgb="00DC2626"/>
      </font>
      <fill>
        <patternFill patternType="solid">
          <bgColor rgb="00FEE2E2"/>
        </patternFill>
      </fill>
    </dxf>
    <dxf>
      <font>
        <b/>
        <color rgb="00D97706"/>
      </font>
      <fill>
        <patternFill patternType="solid">
          <bgColor rgb="00FEF3C7"/>
        </patternFill>
      </fill>
    </dxf>
    <dxf>
      <font>
        <b/>
        <color rgb="0016A34A"/>
      </font>
      <fill>
        <patternFill patternType="solid">
          <bgColor rgb="00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1" summaryRight="1"/>
  </sheetPr>
  <dimension ref="A1:R8"/>
  <sheetViews>
    <sheetView workbookViewId="0" showGridLines="0" zoomScale="100" zoomScaleNormal="100">
      <pane ySplit="2" topLeftCell="A3" activePane="bottomLeft" state="frozen"/>
      <selection pane="bottomLeft" activeCell="A1" sqref="A1"/>
    </sheetView>
  </sheetViews>
  <sheetFormatPr defaultRowHeight="15" outlineLevelRow="0" outlineLevelCol="0" x14ac:dyDescent="0"/>
  <cols>
    <col min="1" max="1" width="22" customWidth="1"/>
    <col min="2" max="2" width="16" customWidth="1"/>
    <col min="3" max="3" width="14" customWidth="1"/>
    <col min="4" max="4" width="18" customWidth="1"/>
    <col min="5" max="5" width="17" customWidth="1"/>
    <col min="6" max="7" width="13" customWidth="1"/>
    <col min="8" max="8" width="18" customWidth="1"/>
    <col min="9" max="10" width="16" customWidth="1"/>
    <col min="11" max="11" width="14" customWidth="1"/>
    <col min="12" max="12" width="16" customWidth="1"/>
    <col min="13" max="14" width="12" customWidth="1"/>
    <col min="15" max="15" width="14" customWidth="1"/>
    <col min="16" max="16" width="24" customWidth="1"/>
    <col min="17" max="17" width="11" customWidth="1"/>
    <col min="18" max="18" width="22" customWidth="1"/>
  </cols>
  <sheetData>
    <row r="1" ht="30" customHeight="1" spans="1: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" customHeight="1" spans="1:18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spans="1:18" x14ac:dyDescent="0.25">
      <c r="A4" s="5" t="s">
        <v>20</v>
      </c>
      <c r="B4" s="5" t="s">
        <v>21</v>
      </c>
      <c r="C4" s="5" t="s">
        <v>22</v>
      </c>
      <c r="D4" s="5" t="s">
        <v>23</v>
      </c>
      <c r="E4" s="6">
        <v>15600</v>
      </c>
      <c r="F4" s="7">
        <v>45748</v>
      </c>
      <c r="G4" s="7">
        <v>46112</v>
      </c>
      <c r="H4" s="8">
        <v>60</v>
      </c>
      <c r="I4" s="9">
        <f>G4-H4</f>
      </c>
      <c r="J4" s="10">
        <f>IF(I4="","",I4-TODAY())</f>
      </c>
      <c r="K4" s="5" t="s">
        <v>24</v>
      </c>
      <c r="L4" s="5" t="s">
        <v>25</v>
      </c>
      <c r="M4" s="11">
        <f>IF(J4="","-",IF(J4&lt;0,"EXPIRED",IF(J4&lt;=30,"URGENT",IF(J4&lt;=90,"DUE SOON","ACTIVE"))))</f>
      </c>
      <c r="N4" s="11">
        <f>IF(AND(K4="Yes",J4&lt;=H4),"HIGH",IF(J4&lt;=30,"HIGH",IF(J4&lt;=90,"MEDIUM","LOW")))</f>
      </c>
      <c r="O4" s="11">
        <f>IF(G4="","-",IF(MONTH(G4)&gt;=4,"FY"&amp;YEAR(G4)&amp;"/"&amp;RIGHT(YEAR(G4)+1,2),"FY"&amp;YEAR(G4)-1&amp;"/"&amp;RIGHT(YEAR(G4),2)))</f>
      </c>
      <c r="P4" s="5"/>
      <c r="Q4" s="5" t="s">
        <v>26</v>
      </c>
      <c r="R4" s="12" t="s">
        <v>27</v>
      </c>
    </row>
    <row r="5" spans="1:18" x14ac:dyDescent="0.25">
      <c r="A5" s="13" t="s">
        <v>28</v>
      </c>
      <c r="B5" s="13" t="s">
        <v>21</v>
      </c>
      <c r="C5" s="13" t="s">
        <v>29</v>
      </c>
      <c r="D5" s="13" t="s">
        <v>30</v>
      </c>
      <c r="E5" s="14">
        <v>42000</v>
      </c>
      <c r="F5" s="15">
        <v>45474</v>
      </c>
      <c r="G5" s="15">
        <v>46203</v>
      </c>
      <c r="H5" s="16">
        <v>90</v>
      </c>
      <c r="I5" s="17">
        <f>G5-H5</f>
      </c>
      <c r="J5" s="18">
        <f>IF(I5="","",I5-TODAY())</f>
      </c>
      <c r="K5" s="13" t="s">
        <v>24</v>
      </c>
      <c r="L5" s="13" t="s">
        <v>31</v>
      </c>
      <c r="M5" s="19">
        <f>IF(J5="","-",IF(J5&lt;0,"EXPIRED",IF(J5&lt;=30,"URGENT",IF(J5&lt;=90,"DUE SOON","ACTIVE"))))</f>
      </c>
      <c r="N5" s="19">
        <f>IF(AND(K5="Yes",J5&lt;=H5),"HIGH",IF(J5&lt;=30,"HIGH",IF(J5&lt;=90,"MEDIUM","LOW")))</f>
      </c>
      <c r="O5" s="19">
        <f>IF(G5="","-",IF(MONTH(G5)&gt;=4,"FY"&amp;YEAR(G5)&amp;"/"&amp;RIGHT(YEAR(G5)+1,2),"FY"&amp;YEAR(G5)-1&amp;"/"&amp;RIGHT(YEAR(G5),2)))</f>
      </c>
      <c r="P5" s="13"/>
      <c r="Q5" s="13" t="s">
        <v>26</v>
      </c>
      <c r="R5" s="20" t="s">
        <v>27</v>
      </c>
    </row>
    <row r="6" spans="1:18" x14ac:dyDescent="0.25">
      <c r="A6" s="5" t="s">
        <v>32</v>
      </c>
      <c r="B6" s="5" t="s">
        <v>21</v>
      </c>
      <c r="C6" s="5" t="s">
        <v>33</v>
      </c>
      <c r="D6" s="5" t="s">
        <v>34</v>
      </c>
      <c r="E6" s="6">
        <v>4800</v>
      </c>
      <c r="F6" s="7">
        <v>45672</v>
      </c>
      <c r="G6" s="7">
        <v>46036</v>
      </c>
      <c r="H6" s="8">
        <v>30</v>
      </c>
      <c r="I6" s="9">
        <f>G6-H6</f>
      </c>
      <c r="J6" s="10">
        <f>IF(I6="","",I6-TODAY())</f>
      </c>
      <c r="K6" s="5" t="s">
        <v>26</v>
      </c>
      <c r="L6" s="5" t="s">
        <v>25</v>
      </c>
      <c r="M6" s="11">
        <f>IF(J6="","-",IF(J6&lt;0,"EXPIRED",IF(J6&lt;=30,"URGENT",IF(J6&lt;=90,"DUE SOON","ACTIVE"))))</f>
      </c>
      <c r="N6" s="11">
        <f>IF(AND(K6="Yes",J6&lt;=H6),"HIGH",IF(J6&lt;=30,"HIGH",IF(J6&lt;=90,"MEDIUM","LOW")))</f>
      </c>
      <c r="O6" s="11">
        <f>IF(G6="","-",IF(MONTH(G6)&gt;=4,"FY"&amp;YEAR(G6)&amp;"/"&amp;RIGHT(YEAR(G6)+1,2),"FY"&amp;YEAR(G6)-1&amp;"/"&amp;RIGHT(YEAR(G6),2)))</f>
      </c>
      <c r="P6" s="5"/>
      <c r="Q6" s="5" t="s">
        <v>35</v>
      </c>
      <c r="R6" s="12" t="s">
        <v>27</v>
      </c>
    </row>
    <row r="7" spans="1:18" x14ac:dyDescent="0.25">
      <c r="A7" s="13" t="s">
        <v>36</v>
      </c>
      <c r="B7" s="13" t="s">
        <v>37</v>
      </c>
      <c r="C7" s="13" t="s">
        <v>22</v>
      </c>
      <c r="D7" s="13" t="s">
        <v>38</v>
      </c>
      <c r="E7" s="14">
        <v>9600</v>
      </c>
      <c r="F7" s="15">
        <v>45809</v>
      </c>
      <c r="G7" s="15">
        <v>46173</v>
      </c>
      <c r="H7" s="16">
        <v>30</v>
      </c>
      <c r="I7" s="17">
        <f>G7-H7</f>
      </c>
      <c r="J7" s="18">
        <f>IF(I7="","",I7-TODAY())</f>
      </c>
      <c r="K7" s="13" t="s">
        <v>26</v>
      </c>
      <c r="L7" s="13" t="s">
        <v>39</v>
      </c>
      <c r="M7" s="19">
        <f>IF(J7="","-",IF(J7&lt;0,"EXPIRED",IF(J7&lt;=30,"URGENT",IF(J7&lt;=90,"DUE SOON","ACTIVE"))))</f>
      </c>
      <c r="N7" s="19">
        <f>IF(AND(K7="Yes",J7&lt;=H7),"HIGH",IF(J7&lt;=30,"HIGH",IF(J7&lt;=90,"MEDIUM","LOW")))</f>
      </c>
      <c r="O7" s="19">
        <f>IF(G7="","-",IF(MONTH(G7)&gt;=4,"FY"&amp;YEAR(G7)&amp;"/"&amp;RIGHT(YEAR(G7)+1,2),"FY"&amp;YEAR(G7)-1&amp;"/"&amp;RIGHT(YEAR(G7),2)))</f>
      </c>
      <c r="P7" s="13"/>
      <c r="Q7" s="13" t="s">
        <v>26</v>
      </c>
      <c r="R7" s="20" t="s">
        <v>27</v>
      </c>
    </row>
    <row r="8" spans="1:18" x14ac:dyDescent="0.25">
      <c r="A8" s="5" t="s">
        <v>40</v>
      </c>
      <c r="B8" s="5" t="s">
        <v>21</v>
      </c>
      <c r="C8" s="5" t="s">
        <v>41</v>
      </c>
      <c r="D8" s="5" t="s">
        <v>42</v>
      </c>
      <c r="E8" s="6">
        <v>2400</v>
      </c>
      <c r="F8" s="7">
        <v>45901</v>
      </c>
      <c r="G8" s="7">
        <v>46265</v>
      </c>
      <c r="H8" s="8">
        <v>30</v>
      </c>
      <c r="I8" s="9">
        <f>G8-H8</f>
      </c>
      <c r="J8" s="10">
        <f>IF(I8="","",I8-TODAY())</f>
      </c>
      <c r="K8" s="5" t="s">
        <v>24</v>
      </c>
      <c r="L8" s="5" t="s">
        <v>25</v>
      </c>
      <c r="M8" s="11">
        <f>IF(J8="","-",IF(J8&lt;0,"EXPIRED",IF(J8&lt;=30,"URGENT",IF(J8&lt;=90,"DUE SOON","ACTIVE"))))</f>
      </c>
      <c r="N8" s="11">
        <f>IF(AND(K8="Yes",J8&lt;=H8),"HIGH",IF(J8&lt;=30,"HIGH",IF(J8&lt;=90,"MEDIUM","LOW")))</f>
      </c>
      <c r="O8" s="11">
        <f>IF(G8="","-",IF(MONTH(G8)&gt;=4,"FY"&amp;YEAR(G8)&amp;"/"&amp;RIGHT(YEAR(G8)+1,2),"FY"&amp;YEAR(G8)-1&amp;"/"&amp;RIGHT(YEAR(G8),2)))</f>
      </c>
      <c r="P8" s="5"/>
      <c r="Q8" s="5" t="s">
        <v>24</v>
      </c>
      <c r="R8" s="12" t="s">
        <v>27</v>
      </c>
    </row>
  </sheetData>
  <mergeCells count="2">
    <mergeCell ref="A1:R1"/>
    <mergeCell ref="A2:R2"/>
  </mergeCells>
  <conditionalFormatting sqref="M4:M200">
    <cfRule type="containsText" dxfId="0" priority="1">
      <formula>NOT(ISERROR(SEARCH("URGENT",M4)))</formula>
    </cfRule>
    <cfRule type="containsText" dxfId="1" priority="2">
      <formula>NOT(ISERROR(SEARCH("DUE SOON",M4)))</formula>
    </cfRule>
    <cfRule type="containsText" dxfId="2" priority="3">
      <formula>NOT(ISERROR(SEARCH("ACTIVE",M4)))</formula>
    </cfRule>
    <cfRule type="containsText" dxfId="3" priority="4">
      <formula>NOT(ISERROR(SEARCH("EXPIRED",M4)))</formula>
    </cfRule>
  </conditionalFormatting>
  <conditionalFormatting sqref="N4:N200">
    <cfRule type="containsText" dxfId="4" priority="5">
      <formula>NOT(ISERROR(SEARCH("HIGH",N4)))</formula>
    </cfRule>
    <cfRule type="containsText" dxfId="5" priority="6">
      <formula>NOT(ISERROR(SEARCH("MEDIUM",N4)))</formula>
    </cfRule>
    <cfRule type="containsText" dxfId="6" priority="7">
      <formula>NOT(ISERROR(SEARCH("LOW",N4)))</formula>
    </cfRule>
  </conditionalFormatting>
  <conditionalFormatting sqref="J4:J200">
    <cfRule type="dataBar" priority="8">
      <dataBar>
        <cfvo type="num" val="0"/>
        <cfvo type="num" val="365"/>
        <color rgb="000D9488"/>
      </dataBar>
      <extLst>
        <ext xmlns:x14="http://schemas.microsoft.com/office/spreadsheetml/2009/9/main" uri="{B025F937-C7B1-47D3-B67F-A62EFF666E3E}">
          <x14:id>{9F9FF693-FA95-455A-BD95-9CC8C7D1E066}</x14:id>
        </ext>
      </extLst>
    </cfRule>
  </conditionalFormatting>
  <dataValidations count="10">
    <dataValidation type="list" allowBlank="1" sqref="B10:B200">
      <formula1>"SaaS,Licence,Maintenance,Managed Service,Consultancy,Hosting,Other"</formula1>
    </dataValidation>
    <dataValidation type="list" allowBlank="1" sqref="B4:B200">
      <formula1>"SaaS,Licence,Maintenance,Managed Service,Consultancy,Hosting,Other"</formula1>
    </dataValidation>
    <dataValidation type="list" allowBlank="1" sqref="C10:C200">
      <formula1>"IT,Finance,HR,Marketing,Legal,Operations,Facilities,Other"</formula1>
    </dataValidation>
    <dataValidation type="list" allowBlank="1" sqref="C4:C200">
      <formula1>"IT,Finance,HR,Marketing,Legal,Operations,Facilities,Other"</formula1>
    </dataValidation>
    <dataValidation type="list" allowBlank="1" sqref="K10:K200">
      <formula1>"Yes,No,Check contract"</formula1>
    </dataValidation>
    <dataValidation type="list" allowBlank="1" sqref="K4:K200">
      <formula1>"Yes,No,Check contract"</formula1>
    </dataValidation>
    <dataValidation type="list" allowBlank="1" sqref="L10:L200">
      <formula1>"Renew,Cancel,Renegotiate,Review,Auto-renewing"</formula1>
    </dataValidation>
    <dataValidation type="list" allowBlank="1" sqref="L4:L200">
      <formula1>"Renew,Cancel,Renegotiate,Review,Auto-renewing"</formula1>
    </dataValidation>
    <dataValidation type="list" allowBlank="1" sqref="Q10:Q200">
      <formula1>"Yes,No,In Progress"</formula1>
    </dataValidation>
    <dataValidation type="list" allowBlank="1" sqref="Q4:Q200">
      <formula1>"Yes,No,In Progress"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9FF693-FA95-455A-BD95-9CC8C7D1E066}">
            <x14:dataBar minLength="0" maxLength="100">
              <x14:cfvo type="num">
                <xm:f>0</xm:f>
              </x14:cfvo>
              <x14:cfvo type="num">
                <xm:f>365</xm:f>
              </x14:cfvo>
            </x14:dataBar>
          </x14:cfRule>
          <xm:sqref>J4:J200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1" summaryRight="1"/>
  </sheetPr>
  <dimension ref="A1:N9"/>
  <sheetViews>
    <sheetView workbookViewId="0" showGridLines="0" zoomScale="100" zoomScaleNormal="100">
      <pane xSplit="2" ySplit="2" topLeftCell="C3" activePane="bottomRight" state="frozen"/>
      <selection pane="bottomRight" activeCell="A1" sqref="A1"/>
    </sheetView>
  </sheetViews>
  <sheetFormatPr defaultRowHeight="15" outlineLevelRow="0" outlineLevelCol="0" x14ac:dyDescent="0"/>
  <cols>
    <col min="1" max="1" width="22" customWidth="1"/>
    <col min="2" max="2" width="17" customWidth="1"/>
    <col min="3" max="14" width="12" customWidth="1"/>
  </cols>
  <sheetData>
    <row r="1" ht="30" customHeight="1" spans="1:14" x14ac:dyDescent="0.2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" customHeight="1" spans="1:14" x14ac:dyDescent="0.25">
      <c r="A2" s="3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 t="s">
        <v>2</v>
      </c>
      <c r="B3" s="4" t="s">
        <v>6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4" t="s">
        <v>51</v>
      </c>
      <c r="J3" s="4" t="s">
        <v>52</v>
      </c>
      <c r="K3" s="4" t="s">
        <v>53</v>
      </c>
      <c r="L3" s="4" t="s">
        <v>54</v>
      </c>
      <c r="M3" s="4" t="s">
        <v>55</v>
      </c>
      <c r="N3" s="4" t="s">
        <v>56</v>
      </c>
    </row>
    <row r="4" spans="1:14" x14ac:dyDescent="0.25">
      <c r="A4" s="21">
        <f>'Contract Register'!A4</f>
      </c>
      <c r="B4" s="22">
        <f>'Contract Register'!E4</f>
      </c>
      <c r="C4" s="23">
        <f>IF(AND(MONTH('Contract Register'!G4)=3,YEAR('Contract Register'!G4)=2026),'Contract Register'!E4,"")</f>
      </c>
      <c r="D4" s="23">
        <f>IF(AND(MONTH('Contract Register'!G4)=4,YEAR('Contract Register'!G4)=2026),'Contract Register'!E4,"")</f>
      </c>
      <c r="E4" s="23">
        <f>IF(AND(MONTH('Contract Register'!G4)=5,YEAR('Contract Register'!G4)=2026),'Contract Register'!E4,"")</f>
      </c>
      <c r="F4" s="23">
        <f>IF(AND(MONTH('Contract Register'!G4)=6,YEAR('Contract Register'!G4)=2026),'Contract Register'!E4,"")</f>
      </c>
      <c r="G4" s="23">
        <f>IF(AND(MONTH('Contract Register'!G4)=7,YEAR('Contract Register'!G4)=2026),'Contract Register'!E4,"")</f>
      </c>
      <c r="H4" s="23">
        <f>IF(AND(MONTH('Contract Register'!G4)=8,YEAR('Contract Register'!G4)=2026),'Contract Register'!E4,"")</f>
      </c>
      <c r="I4" s="23">
        <f>IF(AND(MONTH('Contract Register'!G4)=9,YEAR('Contract Register'!G4)=2026),'Contract Register'!E4,"")</f>
      </c>
      <c r="J4" s="23">
        <f>IF(AND(MONTH('Contract Register'!G4)=10,YEAR('Contract Register'!G4)=2026),'Contract Register'!E4,"")</f>
      </c>
      <c r="K4" s="23">
        <f>IF(AND(MONTH('Contract Register'!G4)=11,YEAR('Contract Register'!G4)=2026),'Contract Register'!E4,"")</f>
      </c>
      <c r="L4" s="23">
        <f>IF(AND(MONTH('Contract Register'!G4)=12,YEAR('Contract Register'!G4)=2026),'Contract Register'!E4,"")</f>
      </c>
      <c r="M4" s="23">
        <f>IF(AND(MONTH('Contract Register'!G4)=1,YEAR('Contract Register'!G4)=2027),'Contract Register'!E4,"")</f>
      </c>
      <c r="N4" s="23">
        <f>IF(AND(MONTH('Contract Register'!G4)=2,YEAR('Contract Register'!G4)=2027),'Contract Register'!E4,"")</f>
      </c>
    </row>
    <row r="5" spans="1:14" x14ac:dyDescent="0.25">
      <c r="A5" s="24">
        <f>'Contract Register'!A5</f>
      </c>
      <c r="B5" s="25">
        <f>'Contract Register'!E5</f>
      </c>
      <c r="C5" s="26">
        <f>IF(AND(MONTH('Contract Register'!G5)=3,YEAR('Contract Register'!G5)=2026),'Contract Register'!E5,"")</f>
      </c>
      <c r="D5" s="26">
        <f>IF(AND(MONTH('Contract Register'!G5)=4,YEAR('Contract Register'!G5)=2026),'Contract Register'!E5,"")</f>
      </c>
      <c r="E5" s="26">
        <f>IF(AND(MONTH('Contract Register'!G5)=5,YEAR('Contract Register'!G5)=2026),'Contract Register'!E5,"")</f>
      </c>
      <c r="F5" s="26">
        <f>IF(AND(MONTH('Contract Register'!G5)=6,YEAR('Contract Register'!G5)=2026),'Contract Register'!E5,"")</f>
      </c>
      <c r="G5" s="26">
        <f>IF(AND(MONTH('Contract Register'!G5)=7,YEAR('Contract Register'!G5)=2026),'Contract Register'!E5,"")</f>
      </c>
      <c r="H5" s="26">
        <f>IF(AND(MONTH('Contract Register'!G5)=8,YEAR('Contract Register'!G5)=2026),'Contract Register'!E5,"")</f>
      </c>
      <c r="I5" s="26">
        <f>IF(AND(MONTH('Contract Register'!G5)=9,YEAR('Contract Register'!G5)=2026),'Contract Register'!E5,"")</f>
      </c>
      <c r="J5" s="26">
        <f>IF(AND(MONTH('Contract Register'!G5)=10,YEAR('Contract Register'!G5)=2026),'Contract Register'!E5,"")</f>
      </c>
      <c r="K5" s="26">
        <f>IF(AND(MONTH('Contract Register'!G5)=11,YEAR('Contract Register'!G5)=2026),'Contract Register'!E5,"")</f>
      </c>
      <c r="L5" s="26">
        <f>IF(AND(MONTH('Contract Register'!G5)=12,YEAR('Contract Register'!G5)=2026),'Contract Register'!E5,"")</f>
      </c>
      <c r="M5" s="26">
        <f>IF(AND(MONTH('Contract Register'!G5)=1,YEAR('Contract Register'!G5)=2027),'Contract Register'!E5,"")</f>
      </c>
      <c r="N5" s="26">
        <f>IF(AND(MONTH('Contract Register'!G5)=2,YEAR('Contract Register'!G5)=2027),'Contract Register'!E5,"")</f>
      </c>
    </row>
    <row r="6" spans="1:14" x14ac:dyDescent="0.25">
      <c r="A6" s="21">
        <f>'Contract Register'!A6</f>
      </c>
      <c r="B6" s="22">
        <f>'Contract Register'!E6</f>
      </c>
      <c r="C6" s="23">
        <f>IF(AND(MONTH('Contract Register'!G6)=3,YEAR('Contract Register'!G6)=2026),'Contract Register'!E6,"")</f>
      </c>
      <c r="D6" s="23">
        <f>IF(AND(MONTH('Contract Register'!G6)=4,YEAR('Contract Register'!G6)=2026),'Contract Register'!E6,"")</f>
      </c>
      <c r="E6" s="23">
        <f>IF(AND(MONTH('Contract Register'!G6)=5,YEAR('Contract Register'!G6)=2026),'Contract Register'!E6,"")</f>
      </c>
      <c r="F6" s="23">
        <f>IF(AND(MONTH('Contract Register'!G6)=6,YEAR('Contract Register'!G6)=2026),'Contract Register'!E6,"")</f>
      </c>
      <c r="G6" s="23">
        <f>IF(AND(MONTH('Contract Register'!G6)=7,YEAR('Contract Register'!G6)=2026),'Contract Register'!E6,"")</f>
      </c>
      <c r="H6" s="23">
        <f>IF(AND(MONTH('Contract Register'!G6)=8,YEAR('Contract Register'!G6)=2026),'Contract Register'!E6,"")</f>
      </c>
      <c r="I6" s="23">
        <f>IF(AND(MONTH('Contract Register'!G6)=9,YEAR('Contract Register'!G6)=2026),'Contract Register'!E6,"")</f>
      </c>
      <c r="J6" s="23">
        <f>IF(AND(MONTH('Contract Register'!G6)=10,YEAR('Contract Register'!G6)=2026),'Contract Register'!E6,"")</f>
      </c>
      <c r="K6" s="23">
        <f>IF(AND(MONTH('Contract Register'!G6)=11,YEAR('Contract Register'!G6)=2026),'Contract Register'!E6,"")</f>
      </c>
      <c r="L6" s="23">
        <f>IF(AND(MONTH('Contract Register'!G6)=12,YEAR('Contract Register'!G6)=2026),'Contract Register'!E6,"")</f>
      </c>
      <c r="M6" s="23">
        <f>IF(AND(MONTH('Contract Register'!G6)=1,YEAR('Contract Register'!G6)=2027),'Contract Register'!E6,"")</f>
      </c>
      <c r="N6" s="23">
        <f>IF(AND(MONTH('Contract Register'!G6)=2,YEAR('Contract Register'!G6)=2027),'Contract Register'!E6,"")</f>
      </c>
    </row>
    <row r="7" spans="1:14" x14ac:dyDescent="0.25">
      <c r="A7" s="24">
        <f>'Contract Register'!A7</f>
      </c>
      <c r="B7" s="25">
        <f>'Contract Register'!E7</f>
      </c>
      <c r="C7" s="26">
        <f>IF(AND(MONTH('Contract Register'!G7)=3,YEAR('Contract Register'!G7)=2026),'Contract Register'!E7,"")</f>
      </c>
      <c r="D7" s="26">
        <f>IF(AND(MONTH('Contract Register'!G7)=4,YEAR('Contract Register'!G7)=2026),'Contract Register'!E7,"")</f>
      </c>
      <c r="E7" s="26">
        <f>IF(AND(MONTH('Contract Register'!G7)=5,YEAR('Contract Register'!G7)=2026),'Contract Register'!E7,"")</f>
      </c>
      <c r="F7" s="26">
        <f>IF(AND(MONTH('Contract Register'!G7)=6,YEAR('Contract Register'!G7)=2026),'Contract Register'!E7,"")</f>
      </c>
      <c r="G7" s="26">
        <f>IF(AND(MONTH('Contract Register'!G7)=7,YEAR('Contract Register'!G7)=2026),'Contract Register'!E7,"")</f>
      </c>
      <c r="H7" s="26">
        <f>IF(AND(MONTH('Contract Register'!G7)=8,YEAR('Contract Register'!G7)=2026),'Contract Register'!E7,"")</f>
      </c>
      <c r="I7" s="26">
        <f>IF(AND(MONTH('Contract Register'!G7)=9,YEAR('Contract Register'!G7)=2026),'Contract Register'!E7,"")</f>
      </c>
      <c r="J7" s="26">
        <f>IF(AND(MONTH('Contract Register'!G7)=10,YEAR('Contract Register'!G7)=2026),'Contract Register'!E7,"")</f>
      </c>
      <c r="K7" s="26">
        <f>IF(AND(MONTH('Contract Register'!G7)=11,YEAR('Contract Register'!G7)=2026),'Contract Register'!E7,"")</f>
      </c>
      <c r="L7" s="26">
        <f>IF(AND(MONTH('Contract Register'!G7)=12,YEAR('Contract Register'!G7)=2026),'Contract Register'!E7,"")</f>
      </c>
      <c r="M7" s="26">
        <f>IF(AND(MONTH('Contract Register'!G7)=1,YEAR('Contract Register'!G7)=2027),'Contract Register'!E7,"")</f>
      </c>
      <c r="N7" s="26">
        <f>IF(AND(MONTH('Contract Register'!G7)=2,YEAR('Contract Register'!G7)=2027),'Contract Register'!E7,"")</f>
      </c>
    </row>
    <row r="8" spans="1:14" x14ac:dyDescent="0.25">
      <c r="A8" s="21">
        <f>'Contract Register'!A8</f>
      </c>
      <c r="B8" s="22">
        <f>'Contract Register'!E8</f>
      </c>
      <c r="C8" s="23">
        <f>IF(AND(MONTH('Contract Register'!G8)=3,YEAR('Contract Register'!G8)=2026),'Contract Register'!E8,"")</f>
      </c>
      <c r="D8" s="23">
        <f>IF(AND(MONTH('Contract Register'!G8)=4,YEAR('Contract Register'!G8)=2026),'Contract Register'!E8,"")</f>
      </c>
      <c r="E8" s="23">
        <f>IF(AND(MONTH('Contract Register'!G8)=5,YEAR('Contract Register'!G8)=2026),'Contract Register'!E8,"")</f>
      </c>
      <c r="F8" s="23">
        <f>IF(AND(MONTH('Contract Register'!G8)=6,YEAR('Contract Register'!G8)=2026),'Contract Register'!E8,"")</f>
      </c>
      <c r="G8" s="23">
        <f>IF(AND(MONTH('Contract Register'!G8)=7,YEAR('Contract Register'!G8)=2026),'Contract Register'!E8,"")</f>
      </c>
      <c r="H8" s="23">
        <f>IF(AND(MONTH('Contract Register'!G8)=8,YEAR('Contract Register'!G8)=2026),'Contract Register'!E8,"")</f>
      </c>
      <c r="I8" s="23">
        <f>IF(AND(MONTH('Contract Register'!G8)=9,YEAR('Contract Register'!G8)=2026),'Contract Register'!E8,"")</f>
      </c>
      <c r="J8" s="23">
        <f>IF(AND(MONTH('Contract Register'!G8)=10,YEAR('Contract Register'!G8)=2026),'Contract Register'!E8,"")</f>
      </c>
      <c r="K8" s="23">
        <f>IF(AND(MONTH('Contract Register'!G8)=11,YEAR('Contract Register'!G8)=2026),'Contract Register'!E8,"")</f>
      </c>
      <c r="L8" s="23">
        <f>IF(AND(MONTH('Contract Register'!G8)=12,YEAR('Contract Register'!G8)=2026),'Contract Register'!E8,"")</f>
      </c>
      <c r="M8" s="23">
        <f>IF(AND(MONTH('Contract Register'!G8)=1,YEAR('Contract Register'!G8)=2027),'Contract Register'!E8,"")</f>
      </c>
      <c r="N8" s="23">
        <f>IF(AND(MONTH('Contract Register'!G8)=2,YEAR('Contract Register'!G8)=2027),'Contract Register'!E8,"")</f>
      </c>
    </row>
    <row r="9" ht="22" customHeight="1" spans="1:14" x14ac:dyDescent="0.25">
      <c r="A9" s="27" t="s">
        <v>57</v>
      </c>
      <c r="B9" s="28">
        <f>SUM(B4:B8)</f>
      </c>
      <c r="C9" s="28">
        <f>SUM(C4:C8)</f>
      </c>
      <c r="D9" s="28">
        <f>SUM(D4:D8)</f>
      </c>
      <c r="E9" s="28">
        <f>SUM(E4:E8)</f>
      </c>
      <c r="F9" s="28">
        <f>SUM(F4:F8)</f>
      </c>
      <c r="G9" s="28">
        <f>SUM(G4:G8)</f>
      </c>
      <c r="H9" s="28">
        <f>SUM(H4:H8)</f>
      </c>
      <c r="I9" s="28">
        <f>SUM(I4:I8)</f>
      </c>
      <c r="J9" s="28">
        <f>SUM(J4:J8)</f>
      </c>
      <c r="K9" s="28">
        <f>SUM(K4:K8)</f>
      </c>
      <c r="L9" s="28">
        <f>SUM(L4:L8)</f>
      </c>
      <c r="M9" s="28">
        <f>SUM(M4:M8)</f>
      </c>
      <c r="N9" s="28">
        <f>SUM(N4:N8)</f>
      </c>
    </row>
  </sheetData>
  <mergeCells count="2">
    <mergeCell ref="A1:N1"/>
    <mergeCell ref="A2:N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workbookViewId="0" showGridLines="0" zoomScale="100" zoomScaleNormal="100">
      <selection activeCell="A1" sqref="A1"/>
    </sheetView>
  </sheetViews>
  <sheetFormatPr defaultRowHeight="15" outlineLevelRow="0" outlineLevelCol="0" x14ac:dyDescent="0"/>
  <cols>
    <col min="1" max="1" width="28" customWidth="1"/>
    <col min="2" max="2" width="18" customWidth="1"/>
    <col min="3" max="3" width="3" customWidth="1"/>
    <col min="4" max="4" width="28" customWidth="1"/>
    <col min="5" max="5" width="18" customWidth="1"/>
    <col min="6" max="6" width="3" customWidth="1"/>
  </cols>
  <sheetData>
    <row r="1" ht="34" customHeight="1" spans="1:6" x14ac:dyDescent="0.25">
      <c r="A1" s="29" t="s">
        <v>58</v>
      </c>
      <c r="B1" s="2"/>
      <c r="C1" s="2"/>
      <c r="D1" s="2"/>
      <c r="E1" s="2"/>
      <c r="F1" s="2"/>
    </row>
    <row r="2" ht="18" customHeight="1" spans="1:6" x14ac:dyDescent="0.25">
      <c r="A2" s="3" t="s">
        <v>59</v>
      </c>
      <c r="B2" s="2"/>
      <c r="C2" s="2"/>
      <c r="D2" s="2"/>
      <c r="E2" s="2"/>
      <c r="F2" s="2"/>
    </row>
    <row r="4" ht="22" customHeight="1" spans="1:5" x14ac:dyDescent="0.25">
      <c r="A4" s="30" t="s">
        <v>60</v>
      </c>
      <c r="B4" s="2"/>
      <c r="C4" s="2"/>
      <c r="D4" s="30" t="s">
        <v>61</v>
      </c>
      <c r="E4" s="2"/>
    </row>
    <row r="5" ht="24" customHeight="1" spans="1:5" x14ac:dyDescent="0.25">
      <c r="A5" s="31" t="s">
        <v>62</v>
      </c>
      <c r="B5" s="32">
        <f>COUNTA('Contract Register'!A4:A200)</f>
      </c>
      <c r="C5" s="2"/>
      <c r="D5" s="31" t="s">
        <v>63</v>
      </c>
      <c r="E5" s="33">
        <f>COUNTIF('Contract Register'!M4:M200,"URGENT")</f>
      </c>
    </row>
    <row r="6" ht="24" customHeight="1" spans="1:5" x14ac:dyDescent="0.25">
      <c r="A6" s="31" t="s">
        <v>64</v>
      </c>
      <c r="B6" s="34">
        <f>SUMIF('Contract Register'!M4:M200,"ACTIVE",'Contract Register'!E4:E200)</f>
      </c>
      <c r="C6" s="2"/>
      <c r="D6" s="31" t="s">
        <v>65</v>
      </c>
      <c r="E6" s="35">
        <f>COUNTIF('Contract Register'!M4:M200,"DUE SOON")</f>
      </c>
    </row>
    <row r="7" ht="24" customHeight="1" spans="1:5" x14ac:dyDescent="0.25">
      <c r="A7" s="31" t="s">
        <v>66</v>
      </c>
      <c r="B7" s="34">
        <f>IFERROR(B6/B5,"-")</f>
      </c>
      <c r="C7" s="2"/>
      <c r="D7" s="31" t="s">
        <v>67</v>
      </c>
      <c r="E7" s="33">
        <f>COUNTIF('Contract Register'!N4:N200,"HIGH")</f>
      </c>
    </row>
    <row r="8" ht="24" customHeight="1" spans="1:5" x14ac:dyDescent="0.25">
      <c r="A8" s="31" t="s">
        <v>68</v>
      </c>
      <c r="B8" s="32">
        <f>COUNTIF('Contract Register'!K4:K200,"Yes")</f>
      </c>
      <c r="C8" s="2"/>
      <c r="D8" s="31" t="s">
        <v>69</v>
      </c>
      <c r="E8" s="36">
        <f>SUMIF('Contract Register'!N4:N200,"HIGH",'Contract Register'!E4:E200)</f>
      </c>
    </row>
    <row r="10" ht="22" customHeight="1" spans="1:5" x14ac:dyDescent="0.25">
      <c r="A10" s="30" t="s">
        <v>70</v>
      </c>
      <c r="B10" s="2"/>
      <c r="C10" s="2"/>
      <c r="D10" s="2"/>
      <c r="E10" s="2"/>
    </row>
    <row r="11" spans="1:5" x14ac:dyDescent="0.25">
      <c r="A11" s="37" t="s">
        <v>4</v>
      </c>
      <c r="B11" s="38" t="s">
        <v>71</v>
      </c>
      <c r="C11" s="2"/>
      <c r="D11" s="38" t="s">
        <v>72</v>
      </c>
      <c r="E11" s="2"/>
    </row>
    <row r="12" ht="20" customHeight="1" spans="1:5" x14ac:dyDescent="0.25">
      <c r="A12" s="39" t="s">
        <v>22</v>
      </c>
      <c r="B12" s="23">
        <f>SUMIF('Contract Register'!C4:C200,"IT",'Contract Register'!E4:E200)</f>
      </c>
      <c r="C12" s="2"/>
      <c r="D12" s="40">
        <f>IFERROR(B12/B6,0)</f>
      </c>
      <c r="E12" s="2"/>
    </row>
    <row r="13" ht="20" customHeight="1" spans="1:5" x14ac:dyDescent="0.25">
      <c r="A13" s="41" t="s">
        <v>41</v>
      </c>
      <c r="B13" s="26">
        <f>SUMIF('Contract Register'!C4:C200,"Finance",'Contract Register'!E4:E200)</f>
      </c>
      <c r="C13" s="2"/>
      <c r="D13" s="42">
        <f>IFERROR(B13/B6,0)</f>
      </c>
      <c r="E13" s="2"/>
    </row>
    <row r="14" ht="20" customHeight="1" spans="1:5" x14ac:dyDescent="0.25">
      <c r="A14" s="39" t="s">
        <v>73</v>
      </c>
      <c r="B14" s="23">
        <f>SUMIF('Contract Register'!C4:C200,"HR",'Contract Register'!E4:E200)</f>
      </c>
      <c r="C14" s="2"/>
      <c r="D14" s="40">
        <f>IFERROR(B14/B6,0)</f>
      </c>
      <c r="E14" s="2"/>
    </row>
    <row r="15" ht="20" customHeight="1" spans="1:5" x14ac:dyDescent="0.25">
      <c r="A15" s="41" t="s">
        <v>74</v>
      </c>
      <c r="B15" s="26">
        <f>SUMIF('Contract Register'!C4:C200,"Marketing",'Contract Register'!E4:E200)</f>
      </c>
      <c r="C15" s="2"/>
      <c r="D15" s="42">
        <f>IFERROR(B15/B6,0)</f>
      </c>
      <c r="E15" s="2"/>
    </row>
    <row r="16" ht="20" customHeight="1" spans="1:5" x14ac:dyDescent="0.25">
      <c r="A16" s="39" t="s">
        <v>33</v>
      </c>
      <c r="B16" s="23">
        <f>SUMIF('Contract Register'!C4:C200,"Legal",'Contract Register'!E4:E200)</f>
      </c>
      <c r="C16" s="2"/>
      <c r="D16" s="40">
        <f>IFERROR(B16/B6,0)</f>
      </c>
      <c r="E16" s="2"/>
    </row>
    <row r="17" ht="20" customHeight="1" spans="1:5" x14ac:dyDescent="0.25">
      <c r="A17" s="41" t="s">
        <v>75</v>
      </c>
      <c r="B17" s="26">
        <f>SUMIF('Contract Register'!C4:C200,"Operations",'Contract Register'!E4:E200)</f>
      </c>
      <c r="C17" s="2"/>
      <c r="D17" s="42">
        <f>IFERROR(B17/B6,0)</f>
      </c>
      <c r="E17" s="2"/>
    </row>
    <row r="18" ht="20" customHeight="1" spans="1:5" x14ac:dyDescent="0.25">
      <c r="A18" s="39" t="s">
        <v>76</v>
      </c>
      <c r="B18" s="23">
        <f>SUMIF('Contract Register'!C4:C200,"Facilities",'Contract Register'!E4:E200)</f>
      </c>
      <c r="C18" s="2"/>
      <c r="D18" s="40">
        <f>IFERROR(B18/B6,0)</f>
      </c>
      <c r="E18" s="2"/>
    </row>
    <row r="19" ht="20" customHeight="1" spans="1:5" x14ac:dyDescent="0.25">
      <c r="A19" s="41" t="s">
        <v>77</v>
      </c>
      <c r="B19" s="26">
        <f>SUMIF('Contract Register'!C4:C200,"Other",'Contract Register'!E4:E200)</f>
      </c>
      <c r="C19" s="2"/>
      <c r="D19" s="42">
        <f>IFERROR(B19/B6,0)</f>
      </c>
      <c r="E19" s="2"/>
    </row>
    <row r="20" ht="22" customHeight="1" spans="1:2" x14ac:dyDescent="0.25">
      <c r="A20" s="43" t="s">
        <v>78</v>
      </c>
      <c r="B20" s="28">
        <f>SUM(B12:B19)</f>
      </c>
    </row>
    <row r="22" spans="1:6" x14ac:dyDescent="0.25">
      <c r="A22" s="44" t="s">
        <v>79</v>
      </c>
      <c r="B22" s="2"/>
      <c r="C22" s="2"/>
      <c r="D22" s="2"/>
      <c r="E22" s="2"/>
      <c r="F22" s="2"/>
    </row>
  </sheetData>
  <mergeCells count="15">
    <mergeCell ref="A1:F1"/>
    <mergeCell ref="A2:F2"/>
    <mergeCell ref="A4:B4"/>
    <mergeCell ref="D4:E4"/>
    <mergeCell ref="A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22:F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 Register</vt:lpstr>
      <vt:lpstr>Renewal Calendar</vt:lpstr>
      <vt:lpstr>Summary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Unknown</cp:lastModifiedBy>
  <dcterms:created xsi:type="dcterms:W3CDTF">2026-03-01T12:19:01Z</dcterms:created>
  <dcterms:modified xsi:type="dcterms:W3CDTF">2026-03-01T12:19:01Z</dcterms:modified>
</cp:coreProperties>
</file>